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350" windowHeight="6270" activeTab="0"/>
  </bookViews>
  <sheets>
    <sheet name="Worksheet" sheetId="1" r:id="rId1"/>
    <sheet name="Graphs" sheetId="2" r:id="rId2"/>
  </sheets>
  <definedNames/>
  <calcPr calcMode="manual" fullCalcOnLoad="1" calcCompleted="0" calcOnSave="0" iterate="1" iterateCount="10000" iterateDelta="0.001"/>
</workbook>
</file>

<file path=xl/comments1.xml><?xml version="1.0" encoding="utf-8"?>
<comments xmlns="http://schemas.openxmlformats.org/spreadsheetml/2006/main">
  <authors>
    <author>Leon Tribe</author>
  </authors>
  <commentList>
    <comment ref="B3" authorId="0">
      <text>
        <r>
          <rPr>
            <b/>
            <sz val="8"/>
            <rFont val="Tahoma"/>
            <family val="0"/>
          </rPr>
          <t>Size of each of the cells in the gap. Given there are ten cells in this simulator, simply divide the gap width by 10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Permittivity of free space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Ion mobility constant for the medium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This is the characteristic area for the device. Essentially a fiddle factor resulting from the approximation of the device into one dimension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Potential of the collector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Set this to 1 and run to reset the values in case of error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<sst xmlns="http://schemas.openxmlformats.org/spreadsheetml/2006/main" count="40" uniqueCount="38">
  <si>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Cell size</t>
  </si>
  <si>
    <t>Permittivity</t>
  </si>
  <si>
    <t>Collector potential</t>
  </si>
  <si>
    <t>metres</t>
  </si>
  <si>
    <t>SI units</t>
  </si>
  <si>
    <t>Volts</t>
  </si>
  <si>
    <t>Ion mobility (K)</t>
  </si>
  <si>
    <t>Voltage</t>
  </si>
  <si>
    <t>Electrode</t>
  </si>
  <si>
    <t>e</t>
  </si>
  <si>
    <t>c</t>
  </si>
  <si>
    <t>Voltage (predicted)</t>
  </si>
  <si>
    <t>Electric Field</t>
  </si>
  <si>
    <t>Electric Field (predicted)</t>
  </si>
  <si>
    <t>E-field gradient</t>
  </si>
  <si>
    <t>E-field gradient (predicted)</t>
  </si>
  <si>
    <t>Velocity</t>
  </si>
  <si>
    <t>Charge density</t>
  </si>
  <si>
    <t>Charge density (predicted)</t>
  </si>
  <si>
    <t>Total Force</t>
  </si>
  <si>
    <t>Total Force (predicted)</t>
  </si>
  <si>
    <t>Reset</t>
  </si>
  <si>
    <t>0=No reset, 1=reset</t>
  </si>
  <si>
    <t>1-D Electrokinetic Force Simulator</t>
  </si>
  <si>
    <t>Characteristic area</t>
  </si>
  <si>
    <t>Force/(area*length)</t>
  </si>
  <si>
    <t>Average current density/area</t>
  </si>
  <si>
    <t>Current density/area</t>
  </si>
  <si>
    <t>Force/(area*length) (predicted)</t>
  </si>
  <si>
    <t>metres^2</t>
  </si>
  <si>
    <t>Newtons</t>
  </si>
  <si>
    <t>Assumptions</t>
  </si>
  <si>
    <t>Emitter is always grounded</t>
  </si>
  <si>
    <t>Complete shielding of the emitter occurs</t>
  </si>
  <si>
    <t>Current density/area (predicted)</t>
  </si>
  <si>
    <t>Copyright Leon Tribe 2006 (leon.tribe@gmail.com)</t>
  </si>
  <si>
    <t>All rights reserved. Unauthorized reproduction or distribution of this program, or any portion of it,</t>
  </si>
  <si>
    <t>may result in severe civil and criminal penalties, and will be prosecuted to the maximum extent possible under the law.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</si>
</sst>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1" fontId="2" fillId="0" borderId="1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1" fontId="2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14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0" fontId="0" fillId="2" borderId="11" xfId="0" applyFill="1" applyBorder="1" applyAlignment="1" applyProtection="1">
      <alignment/>
      <protection locked="0"/>
    </xf>
    <xf numFmtId="11" fontId="0" fillId="2" borderId="12" xfId="0" applyNumberFormat="1" applyFill="1" applyBorder="1" applyAlignment="1" applyProtection="1">
      <alignment/>
      <protection locked="0"/>
    </xf>
    <xf numFmtId="175" fontId="0" fillId="2" borderId="12" xfId="0" applyNumberForma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Worksheet!$A$12</c:f>
              <c:strCache>
                <c:ptCount val="1"/>
                <c:pt idx="0">
                  <c:v>Voltage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Worksheet!$B$12:$L$12</c:f>
              <c:numCache>
                <c:ptCount val="11"/>
                <c:pt idx="0">
                  <c:v>0</c:v>
                </c:pt>
                <c:pt idx="1">
                  <c:v>625.3731353697874</c:v>
                </c:pt>
                <c:pt idx="2">
                  <c:v>2376.417913731671</c:v>
                </c:pt>
                <c:pt idx="3">
                  <c:v>5128.059707383389</c:v>
                </c:pt>
                <c:pt idx="4">
                  <c:v>8755.223888742661</c:v>
                </c:pt>
                <c:pt idx="5">
                  <c:v>13132.835830411692</c:v>
                </c:pt>
                <c:pt idx="6">
                  <c:v>18135.820905218476</c:v>
                </c:pt>
                <c:pt idx="7">
                  <c:v>23639.104486227352</c:v>
                </c:pt>
                <c:pt idx="8">
                  <c:v>29517.61194671707</c:v>
                </c:pt>
                <c:pt idx="9">
                  <c:v>35646.26866012996</c:v>
                </c:pt>
                <c:pt idx="10">
                  <c:v>41900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Worksheet!$A$13</c:f>
              <c:strCache>
                <c:ptCount val="1"/>
                <c:pt idx="0">
                  <c:v>Voltage (predicted)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Worksheet!$B$13:$L$13</c:f>
              <c:numCache>
                <c:ptCount val="11"/>
                <c:pt idx="0">
                  <c:v>0</c:v>
                </c:pt>
                <c:pt idx="1">
                  <c:v>1324.9943396105512</c:v>
                </c:pt>
                <c:pt idx="2">
                  <c:v>3747.6499302896445</c:v>
                </c:pt>
                <c:pt idx="3">
                  <c:v>6884.872547839939</c:v>
                </c:pt>
                <c:pt idx="4">
                  <c:v>10599.954716884402</c:v>
                </c:pt>
                <c:pt idx="5">
                  <c:v>14813.887065858155</c:v>
                </c:pt>
                <c:pt idx="6">
                  <c:v>19473.36026473088</c:v>
                </c:pt>
                <c:pt idx="7">
                  <c:v>24539.238578244443</c:v>
                </c:pt>
                <c:pt idx="8">
                  <c:v>29981.199442317167</c:v>
                </c:pt>
                <c:pt idx="9">
                  <c:v>35774.84716948485</c:v>
                </c:pt>
                <c:pt idx="10">
                  <c:v>41900</c:v>
                </c:pt>
              </c:numCache>
            </c:numRef>
          </c:val>
          <c:smooth val="0"/>
        </c:ser>
        <c:marker val="1"/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6170"/>
        <c:crosses val="autoZero"/>
        <c:auto val="1"/>
        <c:lblOffset val="100"/>
        <c:noMultiLvlLbl val="0"/>
      </c:catAx>
      <c:valAx>
        <c:axId val="720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53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Worksheet!$A$14</c:f>
              <c:strCache>
                <c:ptCount val="1"/>
                <c:pt idx="0">
                  <c:v>Electric Field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Worksheet!$B$14:$L$14</c:f>
              <c:numCache>
                <c:ptCount val="11"/>
                <c:pt idx="0">
                  <c:v>0</c:v>
                </c:pt>
                <c:pt idx="1">
                  <c:v>-396069.6522886118</c:v>
                </c:pt>
                <c:pt idx="2">
                  <c:v>-750447.7620022668</c:v>
                </c:pt>
                <c:pt idx="3">
                  <c:v>-1063134.3291684983</c:v>
                </c:pt>
                <c:pt idx="4">
                  <c:v>-1334129.3538380505</c:v>
                </c:pt>
                <c:pt idx="5">
                  <c:v>-1563432.8360793025</c:v>
                </c:pt>
                <c:pt idx="6">
                  <c:v>-1751044.7759692767</c:v>
                </c:pt>
                <c:pt idx="7">
                  <c:v>-1896965.1735830987</c:v>
                </c:pt>
                <c:pt idx="8">
                  <c:v>-2001194.0289837676</c:v>
                </c:pt>
                <c:pt idx="9">
                  <c:v>-2063731.3422138218</c:v>
                </c:pt>
                <c:pt idx="10">
                  <c:v>-2084577.1132900142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Worksheet!$A$15</c:f>
              <c:strCache>
                <c:ptCount val="1"/>
                <c:pt idx="0">
                  <c:v>Electric Field (predicted)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Worksheet!$B$15:$L$15</c:f>
              <c:numCache>
                <c:ptCount val="11"/>
                <c:pt idx="0">
                  <c:v>0</c:v>
                </c:pt>
                <c:pt idx="1">
                  <c:v>-662497.1698052753</c:v>
                </c:pt>
                <c:pt idx="2">
                  <c:v>-936912.4825724115</c:v>
                </c:pt>
                <c:pt idx="3">
                  <c:v>-1147478.7579733226</c:v>
                </c:pt>
                <c:pt idx="4">
                  <c:v>-1324994.3396105506</c:v>
                </c:pt>
                <c:pt idx="5">
                  <c:v>-1481388.7065858166</c:v>
                </c:pt>
                <c:pt idx="6">
                  <c:v>-1622780.0220609072</c:v>
                </c:pt>
                <c:pt idx="7">
                  <c:v>-1752802.7555888877</c:v>
                </c:pt>
                <c:pt idx="8">
                  <c:v>-1873824.965144823</c:v>
                </c:pt>
                <c:pt idx="9">
                  <c:v>-1987491.5094158258</c:v>
                </c:pt>
                <c:pt idx="10">
                  <c:v>-2094999.9999999995</c:v>
                </c:pt>
              </c:numCache>
            </c:numRef>
          </c:val>
          <c:smooth val="0"/>
        </c:ser>
        <c:marker val="1"/>
        <c:axId val="64855531"/>
        <c:axId val="46828868"/>
      </c:line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28868"/>
        <c:crosses val="autoZero"/>
        <c:auto val="1"/>
        <c:lblOffset val="100"/>
        <c:noMultiLvlLbl val="0"/>
      </c:catAx>
      <c:valAx>
        <c:axId val="46828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55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Worksheet!$A$16</c:f>
              <c:strCache>
                <c:ptCount val="1"/>
                <c:pt idx="0">
                  <c:v>E-field gradient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Worksheet!$B$16:$L$16</c:f>
              <c:numCache>
                <c:ptCount val="11"/>
                <c:pt idx="0">
                  <c:v>-132023217.42953727</c:v>
                </c:pt>
                <c:pt idx="1">
                  <c:v>-125074627.0003778</c:v>
                </c:pt>
                <c:pt idx="2">
                  <c:v>-111177446.14664775</c:v>
                </c:pt>
                <c:pt idx="3">
                  <c:v>-97280265.30596395</c:v>
                </c:pt>
                <c:pt idx="4">
                  <c:v>-83383084.48513404</c:v>
                </c:pt>
                <c:pt idx="5">
                  <c:v>-69485903.68853769</c:v>
                </c:pt>
                <c:pt idx="6">
                  <c:v>-55588722.91729937</c:v>
                </c:pt>
                <c:pt idx="7">
                  <c:v>-41691542.16908182</c:v>
                </c:pt>
                <c:pt idx="8">
                  <c:v>-27794361.438453857</c:v>
                </c:pt>
                <c:pt idx="9">
                  <c:v>-13897180.717707766</c:v>
                </c:pt>
                <c:pt idx="10">
                  <c:v>-6948590.358730794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Worksheet!$A$17</c:f>
              <c:strCache>
                <c:ptCount val="1"/>
                <c:pt idx="0">
                  <c:v>E-field gradient (predicted)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Worksheet!$B$17:$L$17</c:f>
              <c:numCache>
                <c:ptCount val="11"/>
                <c:pt idx="1">
                  <c:v>-110416194.96754587</c:v>
                </c:pt>
                <c:pt idx="2">
                  <c:v>-78076040.21436763</c:v>
                </c:pt>
                <c:pt idx="3">
                  <c:v>-63748819.88740682</c:v>
                </c:pt>
                <c:pt idx="4">
                  <c:v>-55208097.48377293</c:v>
                </c:pt>
                <c:pt idx="5">
                  <c:v>-49379623.55286056</c:v>
                </c:pt>
                <c:pt idx="6">
                  <c:v>-45077222.8350252</c:v>
                </c:pt>
                <c:pt idx="7">
                  <c:v>-41733398.94259257</c:v>
                </c:pt>
                <c:pt idx="8">
                  <c:v>-39038020.107183814</c:v>
                </c:pt>
                <c:pt idx="9">
                  <c:v>-36805398.322515294</c:v>
                </c:pt>
                <c:pt idx="10">
                  <c:v>-34916666.66666666</c:v>
                </c:pt>
              </c:numCache>
            </c:numRef>
          </c:val>
          <c:smooth val="0"/>
        </c:ser>
        <c:marker val="1"/>
        <c:axId val="18806629"/>
        <c:axId val="35041934"/>
      </c:line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1934"/>
        <c:crosses val="autoZero"/>
        <c:auto val="1"/>
        <c:lblOffset val="100"/>
        <c:noMultiLvlLbl val="0"/>
      </c:catAx>
      <c:valAx>
        <c:axId val="35041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6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Worksheet!$A$19</c:f>
              <c:strCache>
                <c:ptCount val="1"/>
                <c:pt idx="0">
                  <c:v>Charge density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Worksheet!$B$19:$L$19</c:f>
              <c:numCache>
                <c:ptCount val="11"/>
                <c:pt idx="0">
                  <c:v>-0.0011684054742514048</c:v>
                </c:pt>
                <c:pt idx="1">
                  <c:v>-0.0011069104489533437</c:v>
                </c:pt>
                <c:pt idx="2">
                  <c:v>-0.0009839203983978326</c:v>
                </c:pt>
                <c:pt idx="3">
                  <c:v>-0.000860930347957781</c:v>
                </c:pt>
                <c:pt idx="4">
                  <c:v>-0.0007379402976934363</c:v>
                </c:pt>
                <c:pt idx="5">
                  <c:v>-0.0006149502476435586</c:v>
                </c:pt>
                <c:pt idx="6">
                  <c:v>-0.0004919601978180994</c:v>
                </c:pt>
                <c:pt idx="7">
                  <c:v>-0.00036897014819637416</c:v>
                </c:pt>
                <c:pt idx="8">
                  <c:v>-0.00024598009873031665</c:v>
                </c:pt>
                <c:pt idx="9">
                  <c:v>-0.00012299004935171373</c:v>
                </c:pt>
                <c:pt idx="10">
                  <c:v>-6.149502467476753E-05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Worksheet!$A$20</c:f>
              <c:strCache>
                <c:ptCount val="1"/>
                <c:pt idx="0">
                  <c:v>Charge density (predicted)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Worksheet!$B$20:$L$20</c:f>
              <c:numCache>
                <c:ptCount val="11"/>
                <c:pt idx="1">
                  <c:v>-0.000977183325462781</c:v>
                </c:pt>
                <c:pt idx="2">
                  <c:v>-0.0006909729558971535</c:v>
                </c:pt>
                <c:pt idx="3">
                  <c:v>-0.0005641770560035503</c:v>
                </c:pt>
                <c:pt idx="4">
                  <c:v>-0.0004885916627313905</c:v>
                </c:pt>
                <c:pt idx="5">
                  <c:v>-0.00043700966844281594</c:v>
                </c:pt>
                <c:pt idx="6">
                  <c:v>-0.000398933422089973</c:v>
                </c:pt>
                <c:pt idx="7">
                  <c:v>-0.00036934058064194426</c:v>
                </c:pt>
                <c:pt idx="8">
                  <c:v>-0.00034548647794857676</c:v>
                </c:pt>
                <c:pt idx="9">
                  <c:v>-0.0003257277751542604</c:v>
                </c:pt>
                <c:pt idx="10">
                  <c:v>-0.0003090124999999999</c:v>
                </c:pt>
              </c:numCache>
            </c:numRef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24376"/>
        <c:crosses val="autoZero"/>
        <c:auto val="1"/>
        <c:lblOffset val="100"/>
        <c:noMultiLvlLbl val="0"/>
      </c:catAx>
      <c:valAx>
        <c:axId val="19824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41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4579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0</xdr:row>
      <xdr:rowOff>0</xdr:rowOff>
    </xdr:from>
    <xdr:to>
      <xdr:col>21</xdr:col>
      <xdr:colOff>95250</xdr:colOff>
      <xdr:row>22</xdr:row>
      <xdr:rowOff>57150</xdr:rowOff>
    </xdr:to>
    <xdr:graphicFrame>
      <xdr:nvGraphicFramePr>
        <xdr:cNvPr id="2" name="Chart 2"/>
        <xdr:cNvGraphicFramePr/>
      </xdr:nvGraphicFramePr>
      <xdr:xfrm>
        <a:off x="6438900" y="0"/>
        <a:ext cx="64579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10</xdr:col>
      <xdr:colOff>361950</xdr:colOff>
      <xdr:row>44</xdr:row>
      <xdr:rowOff>114300</xdr:rowOff>
    </xdr:to>
    <xdr:graphicFrame>
      <xdr:nvGraphicFramePr>
        <xdr:cNvPr id="3" name="Chart 3"/>
        <xdr:cNvGraphicFramePr/>
      </xdr:nvGraphicFramePr>
      <xdr:xfrm>
        <a:off x="0" y="3619500"/>
        <a:ext cx="645795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352425</xdr:colOff>
      <xdr:row>22</xdr:row>
      <xdr:rowOff>76200</xdr:rowOff>
    </xdr:from>
    <xdr:to>
      <xdr:col>21</xdr:col>
      <xdr:colOff>104775</xdr:colOff>
      <xdr:row>44</xdr:row>
      <xdr:rowOff>133350</xdr:rowOff>
    </xdr:to>
    <xdr:graphicFrame>
      <xdr:nvGraphicFramePr>
        <xdr:cNvPr id="4" name="Chart 4"/>
        <xdr:cNvGraphicFramePr/>
      </xdr:nvGraphicFramePr>
      <xdr:xfrm>
        <a:off x="6448425" y="3638550"/>
        <a:ext cx="64579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0.421875" style="0" bestFit="1" customWidth="1"/>
    <col min="2" max="12" width="14.421875" style="0" customWidth="1"/>
  </cols>
  <sheetData>
    <row r="1" spans="1:12" ht="2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13.5" thickBot="1"/>
    <row r="3" spans="1:5" ht="12.75">
      <c r="A3" s="24" t="s">
        <v>0</v>
      </c>
      <c r="B3" s="35">
        <v>0.003</v>
      </c>
      <c r="C3" s="1" t="s">
        <v>3</v>
      </c>
      <c r="E3" s="1" t="s">
        <v>31</v>
      </c>
    </row>
    <row r="4" spans="1:5" ht="12.75">
      <c r="A4" s="25" t="s">
        <v>1</v>
      </c>
      <c r="B4" s="36">
        <v>8.85E-12</v>
      </c>
      <c r="C4" s="1" t="s">
        <v>4</v>
      </c>
      <c r="E4" t="s">
        <v>32</v>
      </c>
    </row>
    <row r="5" spans="1:5" ht="12.75">
      <c r="A5" s="25" t="s">
        <v>6</v>
      </c>
      <c r="B5" s="36">
        <v>0.00021</v>
      </c>
      <c r="C5" s="1" t="s">
        <v>4</v>
      </c>
      <c r="E5" t="s">
        <v>33</v>
      </c>
    </row>
    <row r="6" spans="1:3" ht="12.75">
      <c r="A6" s="25" t="s">
        <v>24</v>
      </c>
      <c r="B6" s="37">
        <f>0.0017</f>
        <v>0.0017</v>
      </c>
      <c r="C6" s="1" t="s">
        <v>29</v>
      </c>
    </row>
    <row r="7" spans="1:3" ht="12.75">
      <c r="A7" s="25" t="s">
        <v>2</v>
      </c>
      <c r="B7" s="38">
        <v>41900</v>
      </c>
      <c r="C7" s="1" t="s">
        <v>5</v>
      </c>
    </row>
    <row r="8" spans="1:3" ht="13.5" thickBot="1">
      <c r="A8" s="26" t="s">
        <v>21</v>
      </c>
      <c r="B8" s="39">
        <v>0</v>
      </c>
      <c r="C8" s="1" t="s">
        <v>22</v>
      </c>
    </row>
    <row r="9" ht="13.5" thickBot="1"/>
    <row r="10" spans="2:12" ht="13.5" thickBot="1">
      <c r="B10" s="18">
        <v>0</v>
      </c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20">
        <v>10</v>
      </c>
    </row>
    <row r="11" spans="1:12" ht="13.5" thickBot="1">
      <c r="A11" s="24" t="s">
        <v>8</v>
      </c>
      <c r="B11" s="40" t="s">
        <v>9</v>
      </c>
      <c r="C11" s="41"/>
      <c r="D11" s="41"/>
      <c r="E11" s="41"/>
      <c r="F11" s="41"/>
      <c r="G11" s="41"/>
      <c r="H11" s="41"/>
      <c r="I11" s="41"/>
      <c r="J11" s="41"/>
      <c r="K11" s="41"/>
      <c r="L11" s="42" t="s">
        <v>10</v>
      </c>
    </row>
    <row r="12" spans="1:12" s="3" customFormat="1" ht="12.75">
      <c r="A12" s="4" t="s">
        <v>7</v>
      </c>
      <c r="B12" s="21">
        <f aca="true" t="shared" si="0" ref="B12:L12">IF($B$8=1,0,IF(B11="e",0,IF(B11="c",$B$7,0.5*(A12+C12)+0.5*POWER($B$3,2)*B19/$B$4)))</f>
        <v>0</v>
      </c>
      <c r="C12" s="22">
        <f t="shared" si="0"/>
        <v>625.3731353695114</v>
      </c>
      <c r="D12" s="22">
        <f t="shared" si="0"/>
        <v>2376.417913730801</v>
      </c>
      <c r="E12" s="22">
        <f t="shared" si="0"/>
        <v>5128.059707381832</v>
      </c>
      <c r="F12" s="22">
        <f t="shared" si="0"/>
        <v>8755.22388874051</v>
      </c>
      <c r="G12" s="22">
        <f t="shared" si="0"/>
        <v>13132.835830409176</v>
      </c>
      <c r="H12" s="22">
        <f t="shared" si="0"/>
        <v>18135.820905215904</v>
      </c>
      <c r="I12" s="22">
        <f t="shared" si="0"/>
        <v>23639.104486225064</v>
      </c>
      <c r="J12" s="22">
        <f t="shared" si="0"/>
        <v>29517.611946715362</v>
      </c>
      <c r="K12" s="22">
        <f t="shared" si="0"/>
        <v>35646.26866012905</v>
      </c>
      <c r="L12" s="23">
        <f t="shared" si="0"/>
        <v>41900</v>
      </c>
    </row>
    <row r="13" spans="1:12" ht="12.75">
      <c r="A13" s="29" t="s">
        <v>11</v>
      </c>
      <c r="B13" s="4">
        <f aca="true" t="shared" si="1" ref="B13:L13">($B$7)*POWER($B$3*$L$10,-3/2)*POWER($B$3*B10,3/2)</f>
        <v>0</v>
      </c>
      <c r="C13" s="5">
        <f t="shared" si="1"/>
        <v>1324.9943396105512</v>
      </c>
      <c r="D13" s="5">
        <f t="shared" si="1"/>
        <v>3747.6499302896445</v>
      </c>
      <c r="E13" s="5">
        <f t="shared" si="1"/>
        <v>6884.872547839939</v>
      </c>
      <c r="F13" s="5">
        <f t="shared" si="1"/>
        <v>10599.954716884402</v>
      </c>
      <c r="G13" s="5">
        <f t="shared" si="1"/>
        <v>14813.887065858155</v>
      </c>
      <c r="H13" s="5">
        <f t="shared" si="1"/>
        <v>19473.36026473088</v>
      </c>
      <c r="I13" s="5">
        <f t="shared" si="1"/>
        <v>24539.238578244443</v>
      </c>
      <c r="J13" s="5">
        <f t="shared" si="1"/>
        <v>29981.199442317167</v>
      </c>
      <c r="K13" s="5">
        <f t="shared" si="1"/>
        <v>35774.84716948485</v>
      </c>
      <c r="L13" s="6">
        <f t="shared" si="1"/>
        <v>41900</v>
      </c>
    </row>
    <row r="14" spans="1:12" s="2" customFormat="1" ht="12.75">
      <c r="A14" s="7" t="s">
        <v>12</v>
      </c>
      <c r="B14" s="7">
        <f>IF(B11="e",0,-1*(C12-B12)/($B$3))</f>
        <v>0</v>
      </c>
      <c r="C14" s="8">
        <f>IF(C11="e",0,-1*(D12-B12)/(2*$B$3))</f>
        <v>-396069.6522884668</v>
      </c>
      <c r="D14" s="8">
        <f aca="true" t="shared" si="2" ref="D14:K14">IF(D11="e",0,-1*(E12-C12)/(2*$B$3))</f>
        <v>-750447.7620020534</v>
      </c>
      <c r="E14" s="8">
        <f t="shared" si="2"/>
        <v>-1063134.3291682848</v>
      </c>
      <c r="F14" s="8">
        <f t="shared" si="2"/>
        <v>-1334129.3538378908</v>
      </c>
      <c r="G14" s="8">
        <f t="shared" si="2"/>
        <v>-1563432.8360792324</v>
      </c>
      <c r="H14" s="8">
        <f t="shared" si="2"/>
        <v>-1751044.7759693146</v>
      </c>
      <c r="I14" s="8">
        <f t="shared" si="2"/>
        <v>-1896965.173583243</v>
      </c>
      <c r="J14" s="8">
        <f t="shared" si="2"/>
        <v>-2001194.0289839974</v>
      </c>
      <c r="K14" s="8">
        <f t="shared" si="2"/>
        <v>-2063731.3422141063</v>
      </c>
      <c r="L14" s="9">
        <f>IF(L11="e",0,-1*(L12-K12)/($B$3))</f>
        <v>-2084577.1132903174</v>
      </c>
    </row>
    <row r="15" spans="1:12" s="2" customFormat="1" ht="12.75">
      <c r="A15" s="7" t="s">
        <v>13</v>
      </c>
      <c r="B15" s="7">
        <f aca="true" t="shared" si="3" ref="B15:L15">-$L$13*1.5*POWER($B$3*B10,0.5)/POWER($B$3*$L$10,1.5)</f>
        <v>0</v>
      </c>
      <c r="C15" s="8">
        <f t="shared" si="3"/>
        <v>-662497.1698052753</v>
      </c>
      <c r="D15" s="8">
        <f t="shared" si="3"/>
        <v>-936912.4825724115</v>
      </c>
      <c r="E15" s="8">
        <f t="shared" si="3"/>
        <v>-1147478.7579733226</v>
      </c>
      <c r="F15" s="8">
        <f t="shared" si="3"/>
        <v>-1324994.3396105506</v>
      </c>
      <c r="G15" s="8">
        <f t="shared" si="3"/>
        <v>-1481388.7065858166</v>
      </c>
      <c r="H15" s="8">
        <f t="shared" si="3"/>
        <v>-1622780.0220609072</v>
      </c>
      <c r="I15" s="8">
        <f t="shared" si="3"/>
        <v>-1752802.7555888877</v>
      </c>
      <c r="J15" s="8">
        <f t="shared" si="3"/>
        <v>-1873824.965144823</v>
      </c>
      <c r="K15" s="8">
        <f t="shared" si="3"/>
        <v>-1987491.5094158258</v>
      </c>
      <c r="L15" s="9">
        <f t="shared" si="3"/>
        <v>-2094999.9999999995</v>
      </c>
    </row>
    <row r="16" spans="1:12" s="2" customFormat="1" ht="12.75">
      <c r="A16" s="7" t="s">
        <v>14</v>
      </c>
      <c r="B16" s="7">
        <f>(C14-B14)/($B$3)</f>
        <v>-132023217.42948893</v>
      </c>
      <c r="C16" s="8">
        <f>(D14-B14)/(2*$B$3)</f>
        <v>-125074627.00034223</v>
      </c>
      <c r="D16" s="8">
        <f aca="true" t="shared" si="4" ref="D16:K16">(E14-C14)/(2*$B$3)</f>
        <v>-111177446.14663632</v>
      </c>
      <c r="E16" s="8">
        <f t="shared" si="4"/>
        <v>-97280265.30597289</v>
      </c>
      <c r="F16" s="8">
        <f t="shared" si="4"/>
        <v>-83383084.48515794</v>
      </c>
      <c r="G16" s="8">
        <f t="shared" si="4"/>
        <v>-69485903.68857063</v>
      </c>
      <c r="H16" s="8">
        <f t="shared" si="4"/>
        <v>-55588722.91733511</v>
      </c>
      <c r="I16" s="8">
        <f t="shared" si="4"/>
        <v>-41691542.1691138</v>
      </c>
      <c r="J16" s="8">
        <f t="shared" si="4"/>
        <v>-27794361.43847722</v>
      </c>
      <c r="K16" s="8">
        <f t="shared" si="4"/>
        <v>-13897180.71771999</v>
      </c>
      <c r="L16" s="9">
        <f>(L14-K14)/($B$3)</f>
        <v>-6948590.358737002</v>
      </c>
    </row>
    <row r="17" spans="1:12" ht="12.75">
      <c r="A17" s="7" t="s">
        <v>15</v>
      </c>
      <c r="B17" s="7"/>
      <c r="C17" s="8">
        <f aca="true" t="shared" si="5" ref="C17:L17">-(3/4)*$L$12*POWER($B$3*C10,-1/2)/POWER($B$3*$L$10,3/2)</f>
        <v>-110416194.96754587</v>
      </c>
      <c r="D17" s="8">
        <f t="shared" si="5"/>
        <v>-78076040.21436763</v>
      </c>
      <c r="E17" s="8">
        <f t="shared" si="5"/>
        <v>-63748819.88740682</v>
      </c>
      <c r="F17" s="8">
        <f t="shared" si="5"/>
        <v>-55208097.48377293</v>
      </c>
      <c r="G17" s="8">
        <f t="shared" si="5"/>
        <v>-49379623.55286056</v>
      </c>
      <c r="H17" s="8">
        <f t="shared" si="5"/>
        <v>-45077222.8350252</v>
      </c>
      <c r="I17" s="8">
        <f t="shared" si="5"/>
        <v>-41733398.94259257</v>
      </c>
      <c r="J17" s="8">
        <f t="shared" si="5"/>
        <v>-39038020.107183814</v>
      </c>
      <c r="K17" s="8">
        <f t="shared" si="5"/>
        <v>-36805398.322515294</v>
      </c>
      <c r="L17" s="9">
        <f t="shared" si="5"/>
        <v>-34916666.66666666</v>
      </c>
    </row>
    <row r="18" spans="1:12" ht="12.75">
      <c r="A18" s="7" t="s">
        <v>16</v>
      </c>
      <c r="B18" s="4">
        <f>$B$5*B14</f>
        <v>0</v>
      </c>
      <c r="C18" s="5">
        <f aca="true" t="shared" si="6" ref="C18:L18">$B$5*C14</f>
        <v>-83.17462698057804</v>
      </c>
      <c r="D18" s="5">
        <f t="shared" si="6"/>
        <v>-157.59403002043123</v>
      </c>
      <c r="E18" s="5">
        <f t="shared" si="6"/>
        <v>-223.25820912533982</v>
      </c>
      <c r="F18" s="5">
        <f t="shared" si="6"/>
        <v>-280.1671643059571</v>
      </c>
      <c r="G18" s="5">
        <f t="shared" si="6"/>
        <v>-328.3208955766388</v>
      </c>
      <c r="H18" s="5">
        <f t="shared" si="6"/>
        <v>-367.7194029535561</v>
      </c>
      <c r="I18" s="5">
        <f t="shared" si="6"/>
        <v>-398.36268645248106</v>
      </c>
      <c r="J18" s="5">
        <f t="shared" si="6"/>
        <v>-420.2507460866395</v>
      </c>
      <c r="K18" s="5">
        <f t="shared" si="6"/>
        <v>-433.38358186496237</v>
      </c>
      <c r="L18" s="6">
        <f t="shared" si="6"/>
        <v>-437.7611937909667</v>
      </c>
    </row>
    <row r="19" spans="1:12" ht="12.75">
      <c r="A19" s="7" t="s">
        <v>17</v>
      </c>
      <c r="B19" s="10">
        <f>$B$4*B16</f>
        <v>-0.001168405474250977</v>
      </c>
      <c r="C19" s="11">
        <f aca="true" t="shared" si="7" ref="C19:L19">$B$4*C16</f>
        <v>-0.0011069104489530288</v>
      </c>
      <c r="D19" s="11">
        <f t="shared" si="7"/>
        <v>-0.0009839203983977316</v>
      </c>
      <c r="E19" s="11">
        <f t="shared" si="7"/>
        <v>-0.0008609303479578601</v>
      </c>
      <c r="F19" s="11">
        <f t="shared" si="7"/>
        <v>-0.0007379402976936478</v>
      </c>
      <c r="G19" s="11">
        <f t="shared" si="7"/>
        <v>-0.0006149502476438502</v>
      </c>
      <c r="H19" s="11">
        <f t="shared" si="7"/>
        <v>-0.0004919601978184158</v>
      </c>
      <c r="I19" s="11">
        <f t="shared" si="7"/>
        <v>-0.00036897014819665713</v>
      </c>
      <c r="J19" s="11">
        <f t="shared" si="7"/>
        <v>-0.0002459800987305234</v>
      </c>
      <c r="K19" s="11">
        <f t="shared" si="7"/>
        <v>-0.00012299004935182193</v>
      </c>
      <c r="L19" s="12">
        <f t="shared" si="7"/>
        <v>-6.149502467482247E-05</v>
      </c>
    </row>
    <row r="20" spans="1:12" ht="12.75">
      <c r="A20" s="7" t="s">
        <v>18</v>
      </c>
      <c r="B20" s="13"/>
      <c r="C20" s="11">
        <f>$B$4*C17</f>
        <v>-0.000977183325462781</v>
      </c>
      <c r="D20" s="11">
        <f aca="true" t="shared" si="8" ref="D20:L20">$B$4*D17</f>
        <v>-0.0006909729558971535</v>
      </c>
      <c r="E20" s="11">
        <f t="shared" si="8"/>
        <v>-0.0005641770560035503</v>
      </c>
      <c r="F20" s="11">
        <f t="shared" si="8"/>
        <v>-0.0004885916627313905</v>
      </c>
      <c r="G20" s="11">
        <f t="shared" si="8"/>
        <v>-0.00043700966844281594</v>
      </c>
      <c r="H20" s="11">
        <f t="shared" si="8"/>
        <v>-0.000398933422089973</v>
      </c>
      <c r="I20" s="11">
        <f t="shared" si="8"/>
        <v>-0.00036934058064194426</v>
      </c>
      <c r="J20" s="11">
        <f t="shared" si="8"/>
        <v>-0.00034548647794857676</v>
      </c>
      <c r="K20" s="11">
        <f t="shared" si="8"/>
        <v>-0.0003257277751542604</v>
      </c>
      <c r="L20" s="12">
        <f t="shared" si="8"/>
        <v>-0.0003090124999999999</v>
      </c>
    </row>
    <row r="21" spans="1:12" ht="12.75">
      <c r="A21" s="7" t="s">
        <v>27</v>
      </c>
      <c r="B21" s="4">
        <f>-1*B19*B18</f>
        <v>0</v>
      </c>
      <c r="C21" s="5">
        <f aca="true" t="shared" si="9" ref="C21:L21">-1*C19*C18</f>
        <v>-0.09206686369257235</v>
      </c>
      <c r="D21" s="5">
        <f t="shared" si="9"/>
        <v>-0.15505998080280678</v>
      </c>
      <c r="E21" s="5">
        <f t="shared" si="9"/>
        <v>-0.1922097676667275</v>
      </c>
      <c r="F21" s="5">
        <f t="shared" si="9"/>
        <v>-0.20674664063192313</v>
      </c>
      <c r="G21" s="5">
        <f t="shared" si="9"/>
        <v>-0.2019010160415047</v>
      </c>
      <c r="H21" s="5">
        <f t="shared" si="9"/>
        <v>-0.1809033102187012</v>
      </c>
      <c r="I21" s="5">
        <f t="shared" si="9"/>
        <v>-0.1469839394563904</v>
      </c>
      <c r="J21" s="5">
        <f t="shared" si="9"/>
        <v>-0.1033733200139677</v>
      </c>
      <c r="K21" s="5">
        <f t="shared" si="9"/>
        <v>-0.05330186812184108</v>
      </c>
      <c r="L21" s="6">
        <f t="shared" si="9"/>
        <v>-0.026920135413855236</v>
      </c>
    </row>
    <row r="22" spans="1:12" ht="12.75">
      <c r="A22" s="7" t="s">
        <v>26</v>
      </c>
      <c r="B22" s="4">
        <f>AVERAGE(C21:L21)</f>
        <v>-0.135946684206029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s="3" customFormat="1" ht="12.75">
      <c r="A23" s="4" t="s">
        <v>34</v>
      </c>
      <c r="B23" s="4">
        <f aca="true" t="shared" si="10" ref="B23:L23">-1*(9/8)*POWER($L$12,2)*$B$5*$B$4*POWER($B$3*$L$10,-3)</f>
        <v>-0.13595004937500002</v>
      </c>
      <c r="C23" s="5">
        <f t="shared" si="10"/>
        <v>-0.13595004937500002</v>
      </c>
      <c r="D23" s="5">
        <f t="shared" si="10"/>
        <v>-0.13595004937500002</v>
      </c>
      <c r="E23" s="5">
        <f t="shared" si="10"/>
        <v>-0.13595004937500002</v>
      </c>
      <c r="F23" s="5">
        <f t="shared" si="10"/>
        <v>-0.13595004937500002</v>
      </c>
      <c r="G23" s="5">
        <f t="shared" si="10"/>
        <v>-0.13595004937500002</v>
      </c>
      <c r="H23" s="5">
        <f t="shared" si="10"/>
        <v>-0.13595004937500002</v>
      </c>
      <c r="I23" s="5">
        <f t="shared" si="10"/>
        <v>-0.13595004937500002</v>
      </c>
      <c r="J23" s="5">
        <f t="shared" si="10"/>
        <v>-0.13595004937500002</v>
      </c>
      <c r="K23" s="5">
        <f t="shared" si="10"/>
        <v>-0.13595004937500002</v>
      </c>
      <c r="L23" s="6">
        <f t="shared" si="10"/>
        <v>-0.13595004937500002</v>
      </c>
    </row>
    <row r="24" spans="1:12" ht="12.75">
      <c r="A24" s="7" t="s">
        <v>25</v>
      </c>
      <c r="B24" s="31">
        <f>$B$3*B19*B14</f>
        <v>0</v>
      </c>
      <c r="C24" s="33">
        <f aca="true" t="shared" si="11" ref="C24:L24">$B$3*C19*C14</f>
        <v>1.3152409098938904</v>
      </c>
      <c r="D24" s="33">
        <f t="shared" si="11"/>
        <v>2.2151425828972395</v>
      </c>
      <c r="E24" s="33">
        <f t="shared" si="11"/>
        <v>2.745853823810393</v>
      </c>
      <c r="F24" s="33">
        <f t="shared" si="11"/>
        <v>2.9535234375989012</v>
      </c>
      <c r="G24" s="33">
        <f t="shared" si="11"/>
        <v>2.884300229164353</v>
      </c>
      <c r="H24" s="33">
        <f t="shared" si="11"/>
        <v>2.5843330031243026</v>
      </c>
      <c r="I24" s="33">
        <f t="shared" si="11"/>
        <v>2.09977056366272</v>
      </c>
      <c r="J24" s="33">
        <f t="shared" si="11"/>
        <v>1.4767617144852527</v>
      </c>
      <c r="K24" s="33">
        <f t="shared" si="11"/>
        <v>0.761455258883444</v>
      </c>
      <c r="L24" s="34">
        <f t="shared" si="11"/>
        <v>0.3845733630550748</v>
      </c>
    </row>
    <row r="25" spans="1:12" ht="12.75">
      <c r="A25" s="7" t="s">
        <v>28</v>
      </c>
      <c r="B25" s="13"/>
      <c r="C25" s="33">
        <f>$B$3*C20*C15</f>
        <v>1.942143562499999</v>
      </c>
      <c r="D25" s="33">
        <f aca="true" t="shared" si="12" ref="D25:L25">$B$3*D20*D15</f>
        <v>1.9421435624999985</v>
      </c>
      <c r="E25" s="33">
        <f t="shared" si="12"/>
        <v>1.942143562499999</v>
      </c>
      <c r="F25" s="33">
        <f t="shared" si="12"/>
        <v>1.942143562499999</v>
      </c>
      <c r="G25" s="33">
        <f t="shared" si="12"/>
        <v>1.9421435624999992</v>
      </c>
      <c r="H25" s="33">
        <f t="shared" si="12"/>
        <v>1.942143562499999</v>
      </c>
      <c r="I25" s="33">
        <f t="shared" si="12"/>
        <v>1.9421435624999992</v>
      </c>
      <c r="J25" s="33">
        <f>$B$3*J20*J15</f>
        <v>1.9421435624999985</v>
      </c>
      <c r="K25" s="33">
        <f t="shared" si="12"/>
        <v>1.9421435624999992</v>
      </c>
      <c r="L25" s="34">
        <f t="shared" si="12"/>
        <v>1.942143562499999</v>
      </c>
    </row>
    <row r="26" spans="1:12" ht="12.75">
      <c r="A26" s="7" t="s">
        <v>19</v>
      </c>
      <c r="B26" s="31">
        <f>SUM(B24:L24)*B6</f>
        <v>0.03301562330717847</v>
      </c>
      <c r="C26" s="27" t="s">
        <v>30</v>
      </c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3.5" thickBot="1">
      <c r="A27" s="30" t="s">
        <v>20</v>
      </c>
      <c r="B27" s="32">
        <f>SUM(C25:L25)*B6</f>
        <v>0.03301644056249998</v>
      </c>
      <c r="C27" s="28" t="s">
        <v>30</v>
      </c>
      <c r="D27" s="16"/>
      <c r="E27" s="16"/>
      <c r="F27" s="16"/>
      <c r="G27" s="16"/>
      <c r="H27" s="16"/>
      <c r="I27" s="16"/>
      <c r="J27" s="16"/>
      <c r="K27" s="16"/>
      <c r="L27" s="17"/>
    </row>
    <row r="29" ht="12.75">
      <c r="A29" s="44" t="s">
        <v>35</v>
      </c>
    </row>
    <row r="30" ht="12.75">
      <c r="A30" s="44" t="s">
        <v>36</v>
      </c>
    </row>
    <row r="31" ht="12.75">
      <c r="A31" s="44" t="s">
        <v>37</v>
      </c>
    </row>
  </sheetData>
  <sheetProtection password="D899" sheet="1" objects="1" scenarios="1" selectLockedCells="1"/>
  <mergeCells count="1">
    <mergeCell ref="A1:L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L24" sqref="L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 Tribe</cp:lastModifiedBy>
  <dcterms:created xsi:type="dcterms:W3CDTF">1996-10-14T23:33:28Z</dcterms:created>
  <dcterms:modified xsi:type="dcterms:W3CDTF">2007-01-18T04:30:37Z</dcterms:modified>
  <cp:category/>
  <cp:version/>
  <cp:contentType/>
  <cp:contentStatus/>
</cp:coreProperties>
</file>